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5230" windowHeight="7780" activeTab="0"/>
  </bookViews>
  <sheets>
    <sheet name="MMNA" sheetId="1" r:id="rId1"/>
  </sheets>
  <definedNames>
    <definedName name="_xlnm.Print_Area" localSheetId="0">'MMNA'!$A$1:$K$65</definedName>
  </definedNames>
  <calcPr fullCalcOnLoad="1"/>
</workbook>
</file>

<file path=xl/sharedStrings.xml><?xml version="1.0" encoding="utf-8"?>
<sst xmlns="http://schemas.openxmlformats.org/spreadsheetml/2006/main" count="118" uniqueCount="86">
  <si>
    <t>$</t>
  </si>
  <si>
    <t>RENT / MORTGAGE / CONDO FEES</t>
  </si>
  <si>
    <t>+</t>
  </si>
  <si>
    <t>=</t>
  </si>
  <si>
    <t>-</t>
  </si>
  <si>
    <t xml:space="preserve">COMMUNITY SPOUSE TOTAL INCOME  </t>
  </si>
  <si>
    <t>***************************************************************************************************************</t>
  </si>
  <si>
    <t>INSTITUTIONALIZED SPOUSE INCOME</t>
  </si>
  <si>
    <t>Assets on snapshot date</t>
  </si>
  <si>
    <t>PROPERTY TAXES</t>
  </si>
  <si>
    <t xml:space="preserve">HOUSE INSURANCE </t>
  </si>
  <si>
    <t xml:space="preserve">   Monthly expense:</t>
  </si>
  <si>
    <t>Community Spouse:</t>
  </si>
  <si>
    <t>Client Identification Number:</t>
  </si>
  <si>
    <r>
      <t xml:space="preserve">        </t>
    </r>
    <r>
      <rPr>
        <u val="single"/>
        <sz val="10"/>
        <rFont val="Trebuchet MS"/>
        <family val="2"/>
      </rPr>
      <t xml:space="preserve"> COMMUNITY SPOUSE INCOME</t>
    </r>
  </si>
  <si>
    <t>DEFICIT in COMMUNITY SPOUSE INCOME - MAKEUP REQUIRED</t>
  </si>
  <si>
    <t>Applicant, Institutionalized Spouse:</t>
  </si>
  <si>
    <t>TOTAL SHELTER COSTS</t>
  </si>
  <si>
    <t>EXCESS SHELTER COSTS TO BE ADDED TO MINIMUM MMNA</t>
  </si>
  <si>
    <t>INCOME FROM ASSETS*</t>
  </si>
  <si>
    <t xml:space="preserve"> +</t>
  </si>
  <si>
    <t xml:space="preserve"> / mo.</t>
  </si>
  <si>
    <t>REMEMBER TO UPDATE FIGURES IN RED!</t>
  </si>
  <si>
    <t>YOU CAN EDIT THE REST</t>
  </si>
  <si>
    <r>
      <t xml:space="preserve">CELLS CONTAINING FORMULAE ARE LOCKED </t>
    </r>
    <r>
      <rPr>
        <i/>
        <sz val="10"/>
        <rFont val="Trebuchet MS"/>
        <family val="2"/>
      </rPr>
      <t>if using Excel - not web</t>
    </r>
  </si>
  <si>
    <t xml:space="preserve">  If more than one asset, compute using separate sheet.</t>
  </si>
  <si>
    <t xml:space="preserve"> = highest rate:  higher of actual or bankrate average</t>
  </si>
  <si>
    <t>DIVERSION OF INCOME TO COMMUNITY SPOUSE    / ENHANCEMENT OF CSPA AFTER HEARING</t>
  </si>
  <si>
    <t>Instructions:  Input ACTUAL figures into blue cells, the rest computes itself</t>
  </si>
  <si>
    <t>assets needed to produce monthly</t>
  </si>
  <si>
    <t>NOTE:  You can "format" these rows as "hide" when printing</t>
  </si>
  <si>
    <t>Thus, enhanced CSPA if enhancement required:</t>
  </si>
  <si>
    <t>Step #1:  Compute MMNA; Compute CSA (diversion of institutionalized spouse's income to community spouse)</t>
  </si>
  <si>
    <t>Step #2:  How much could you enhance the CSPA at a Fair Hearing, to meet the MMNA of Community Spouse?</t>
  </si>
  <si>
    <t>If there is a deficit in the MMNA even after CSA diverted to Community Spouse:  compute additional assets to be retained using GREATER</t>
  </si>
  <si>
    <t>of actual rate of return or rate computed by average 3 highest rates of CT banks on www.bankrate.com as of date of Fair Hearing</t>
  </si>
  <si>
    <t>Keep in mind that a Fair Hearing may take 1-2+ months to schedule and a decision might take another 2+ months - use with caution</t>
  </si>
  <si>
    <t>Thus:</t>
  </si>
  <si>
    <t xml:space="preserve">Original CSPA = </t>
  </si>
  <si>
    <t>income for spouse</t>
  </si>
  <si>
    <t>Plus additional assets =</t>
  </si>
  <si>
    <t xml:space="preserve">    INCOME OF INSTITUTIONALIZED SPOUSE DIVERTED TO SPOUSE AS "CSA"</t>
  </si>
  <si>
    <t xml:space="preserve">   MMNA DEFICIT - -MIGHT BE MADE UP FROM ENHANCEMENT OF CSPA AS SHOWN BELOW</t>
  </si>
  <si>
    <r>
      <t xml:space="preserve">   </t>
    </r>
    <r>
      <rPr>
        <i/>
        <sz val="10"/>
        <rFont val="Arial"/>
        <family val="2"/>
      </rPr>
      <t>But only after Fair Hearing!</t>
    </r>
  </si>
  <si>
    <t>GROSS* SSA</t>
  </si>
  <si>
    <t xml:space="preserve"> *You must add back </t>
  </si>
  <si>
    <t>Community Spouse Allowance (if actually paid)</t>
  </si>
  <si>
    <t>TOTAL:</t>
  </si>
  <si>
    <t>GROSS** PENSION</t>
  </si>
  <si>
    <t>OTHER (EARNINGS, ETC)</t>
  </si>
  <si>
    <t xml:space="preserve">** REMEMBER </t>
  </si>
  <si>
    <t xml:space="preserve"> to add back payroll or</t>
  </si>
  <si>
    <t xml:space="preserve"> pension deductions</t>
  </si>
  <si>
    <t>so it won't exceed this amount</t>
  </si>
  <si>
    <t>income/mo @ actual rates*</t>
  </si>
  <si>
    <t>* Actual interest rate earned on initial CSPA:</t>
  </si>
  <si>
    <t>adjusted to reflect</t>
  </si>
  <si>
    <t>minimum and maximum</t>
  </si>
  <si>
    <t>OTHER:</t>
  </si>
  <si>
    <t>Use at your own risk!!!!!!!!!!!!!!!!!!!!</t>
  </si>
  <si>
    <t xml:space="preserve">                           http://www.sharinglaw.net/elder/Griswold.pdf</t>
  </si>
  <si>
    <t xml:space="preserve">   Family allowance, if applicable</t>
  </si>
  <si>
    <t xml:space="preserve">  the Medicare premiums; these may vary</t>
  </si>
  <si>
    <t>based on income!</t>
  </si>
  <si>
    <t xml:space="preserve"> = APPLIED INCOME -- due EACH MONTH of eligibility</t>
  </si>
  <si>
    <r>
      <t xml:space="preserve"> </t>
    </r>
    <r>
      <rPr>
        <i/>
        <sz val="10"/>
        <rFont val="Trebuchet MS"/>
        <family val="2"/>
      </rPr>
      <t>if not enough for all these,</t>
    </r>
  </si>
  <si>
    <t xml:space="preserve">  drop Medicare or reduce allowances</t>
  </si>
  <si>
    <t>Potential Enhanced CSPA =</t>
  </si>
  <si>
    <r>
      <t xml:space="preserve"> Base Medicare premium </t>
    </r>
    <r>
      <rPr>
        <b/>
        <sz val="10"/>
        <rFont val="Trebuchet MS"/>
        <family val="2"/>
      </rPr>
      <t>if not eligible for MSP</t>
    </r>
  </si>
  <si>
    <t xml:space="preserve"> Health insurance premium or other medical expense</t>
  </si>
  <si>
    <t xml:space="preserve">  Shelter allowance up to 6 months if applicable</t>
  </si>
  <si>
    <t>Initial CSPA not to exceed</t>
  </si>
  <si>
    <t>(average of top 3 rates)</t>
  </si>
  <si>
    <r>
      <t xml:space="preserve">PNA eff. </t>
    </r>
    <r>
      <rPr>
        <sz val="10"/>
        <color indexed="10"/>
        <rFont val="Trebuchet MS"/>
        <family val="2"/>
      </rPr>
      <t>7/1/2021-now (nursing home)</t>
    </r>
  </si>
  <si>
    <r>
      <t>BASE MMNA:  150% OF POVERTY LEVEL FOR 2</t>
    </r>
    <r>
      <rPr>
        <sz val="10"/>
        <color indexed="10"/>
        <rFont val="Trebuchet MS"/>
        <family val="2"/>
      </rPr>
      <t xml:space="preserve"> eff. 7/1/22</t>
    </r>
    <r>
      <rPr>
        <sz val="10"/>
        <rFont val="Trebuchet MS"/>
        <family val="2"/>
      </rPr>
      <t xml:space="preserve"> - it cannot be less than this</t>
    </r>
  </si>
  <si>
    <r>
      <t xml:space="preserve">30% OF 150% OF POVERTY LEVEL FOR 2 (shelter allowance) </t>
    </r>
    <r>
      <rPr>
        <sz val="10"/>
        <color indexed="10"/>
        <rFont val="Trebuchet MS"/>
        <family val="2"/>
      </rPr>
      <t>eff 7/1/23</t>
    </r>
  </si>
  <si>
    <r>
      <t xml:space="preserve">UTILITY STANDARD </t>
    </r>
    <r>
      <rPr>
        <sz val="10"/>
        <color indexed="10"/>
        <rFont val="Trebuchet MS"/>
        <family val="2"/>
      </rPr>
      <t>eff. 10/1/23</t>
    </r>
  </si>
  <si>
    <t>Spreadsheet last revised 12/31/23</t>
  </si>
  <si>
    <r>
      <t xml:space="preserve">MMNA  - MAXIMUM eff. </t>
    </r>
    <r>
      <rPr>
        <sz val="10"/>
        <color indexed="10"/>
        <rFont val="Trebuchet MS"/>
        <family val="2"/>
      </rPr>
      <t>1/1/2024 up to</t>
    </r>
  </si>
  <si>
    <t xml:space="preserve">  ( OR $2430 for home care program eff 3/1/23)</t>
  </si>
  <si>
    <t>maximum eff.1/1/24</t>
  </si>
  <si>
    <t>minimum eff. 1/1/24</t>
  </si>
  <si>
    <r>
      <t xml:space="preserve">LOCAL depositaccounts.com for Bank A, CT, </t>
    </r>
    <r>
      <rPr>
        <b/>
        <sz val="10"/>
        <color indexed="10"/>
        <rFont val="Trebuchet MS"/>
        <family val="2"/>
      </rPr>
      <t>date of hearing</t>
    </r>
  </si>
  <si>
    <r>
      <t xml:space="preserve">LOCAL depositaccounts.com for Bank B, CT, </t>
    </r>
    <r>
      <rPr>
        <b/>
        <sz val="10"/>
        <color indexed="10"/>
        <rFont val="Trebuchet MS"/>
        <family val="2"/>
      </rPr>
      <t>date of hearing</t>
    </r>
  </si>
  <si>
    <r>
      <t xml:space="preserve">LOCAL depositaccounts.com for Bank C, CT, </t>
    </r>
    <r>
      <rPr>
        <b/>
        <sz val="10"/>
        <color indexed="10"/>
        <rFont val="Trebuchet MS"/>
        <family val="2"/>
      </rPr>
      <t>date of hearing</t>
    </r>
  </si>
  <si>
    <t xml:space="preserve">                          *LOCAL bank per UPM P-1570.30 + case of  Griswold v. Commissioner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</si>
</sst>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&quot;$&quot;#,##0.00"/>
    <numFmt numFmtId="169" formatCode="mmmm\-yy"/>
    <numFmt numFmtId="170" formatCode="m/d"/>
    <numFmt numFmtId="171" formatCode="#,##0.00;[Red]#,##0.00"/>
    <numFmt numFmtId="172" formatCode="0.0%"/>
    <numFmt numFmtId="173" formatCode="0.00000000000000%"/>
    <numFmt numFmtId="174" formatCode="0.00000"/>
    <numFmt numFmtId="175" formatCode="[$€-2]\ #,##0.00_);[Red]\([$€-2]\ #,##0.00\)"/>
    <numFmt numFmtId="176" formatCode="0.00;[Red]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u val="single"/>
      <sz val="10"/>
      <name val="Trebuchet MS"/>
      <family val="2"/>
    </font>
    <font>
      <sz val="10"/>
      <color indexed="9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name val="Arial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indent="1"/>
      <protection locked="0"/>
    </xf>
    <xf numFmtId="168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43" fontId="4" fillId="33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0" fontId="4" fillId="33" borderId="0" xfId="59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10" fontId="4" fillId="0" borderId="0" xfId="59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6" fontId="9" fillId="0" borderId="0" xfId="44" applyNumberFormat="1" applyFont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 locked="0"/>
    </xf>
    <xf numFmtId="10" fontId="6" fillId="33" borderId="0" xfId="59" applyNumberFormat="1" applyFont="1" applyFill="1" applyBorder="1" applyAlignment="1" applyProtection="1">
      <alignment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 locked="0"/>
    </xf>
    <xf numFmtId="9" fontId="4" fillId="0" borderId="0" xfId="59" applyFont="1" applyFill="1" applyBorder="1" applyAlignment="1" applyProtection="1">
      <alignment/>
      <protection/>
    </xf>
    <xf numFmtId="10" fontId="8" fillId="0" borderId="0" xfId="59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2" fontId="4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4" fontId="9" fillId="0" borderId="0" xfId="44" applyFont="1" applyAlignment="1" applyProtection="1">
      <alignment/>
      <protection locked="0"/>
    </xf>
    <xf numFmtId="44" fontId="9" fillId="0" borderId="0" xfId="44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53" applyFont="1" applyAlignment="1" applyProtection="1">
      <alignment/>
      <protection locked="0"/>
    </xf>
    <xf numFmtId="10" fontId="4" fillId="33" borderId="0" xfId="59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65</xdr:row>
      <xdr:rowOff>0</xdr:rowOff>
    </xdr:from>
    <xdr:to>
      <xdr:col>10</xdr:col>
      <xdr:colOff>638175</xdr:colOff>
      <xdr:row>65</xdr:row>
      <xdr:rowOff>0</xdr:rowOff>
    </xdr:to>
    <xdr:sp>
      <xdr:nvSpPr>
        <xdr:cNvPr id="1" name="Rectangle 5"/>
        <xdr:cNvSpPr>
          <a:spLocks/>
        </xdr:cNvSpPr>
      </xdr:nvSpPr>
      <xdr:spPr>
        <a:xfrm>
          <a:off x="5781675" y="11077575"/>
          <a:ext cx="3238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50</xdr:row>
      <xdr:rowOff>104775</xdr:rowOff>
    </xdr:from>
    <xdr:to>
      <xdr:col>9</xdr:col>
      <xdr:colOff>466725</xdr:colOff>
      <xdr:row>50</xdr:row>
      <xdr:rowOff>104775</xdr:rowOff>
    </xdr:to>
    <xdr:sp>
      <xdr:nvSpPr>
        <xdr:cNvPr id="2" name="Line 4"/>
        <xdr:cNvSpPr>
          <a:spLocks/>
        </xdr:cNvSpPr>
      </xdr:nvSpPr>
      <xdr:spPr>
        <a:xfrm>
          <a:off x="371475" y="861060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65</xdr:row>
      <xdr:rowOff>0</xdr:rowOff>
    </xdr:from>
    <xdr:to>
      <xdr:col>6</xdr:col>
      <xdr:colOff>866775</xdr:colOff>
      <xdr:row>65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4543425" y="1107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123825</xdr:rowOff>
    </xdr:from>
    <xdr:to>
      <xdr:col>7</xdr:col>
      <xdr:colOff>342900</xdr:colOff>
      <xdr:row>61</xdr:row>
      <xdr:rowOff>123825</xdr:rowOff>
    </xdr:to>
    <xdr:sp>
      <xdr:nvSpPr>
        <xdr:cNvPr id="4" name="Line 8"/>
        <xdr:cNvSpPr>
          <a:spLocks/>
        </xdr:cNvSpPr>
      </xdr:nvSpPr>
      <xdr:spPr>
        <a:xfrm flipV="1">
          <a:off x="4819650" y="10001250"/>
          <a:ext cx="1466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1409700</xdr:colOff>
      <xdr:row>20</xdr:row>
      <xdr:rowOff>123825</xdr:rowOff>
    </xdr:from>
    <xdr:to>
      <xdr:col>1</xdr:col>
      <xdr:colOff>219075</xdr:colOff>
      <xdr:row>21</xdr:row>
      <xdr:rowOff>95250</xdr:rowOff>
    </xdr:to>
    <xdr:sp>
      <xdr:nvSpPr>
        <xdr:cNvPr id="5" name="Line 13"/>
        <xdr:cNvSpPr>
          <a:spLocks/>
        </xdr:cNvSpPr>
      </xdr:nvSpPr>
      <xdr:spPr>
        <a:xfrm flipV="1">
          <a:off x="1409700" y="3552825"/>
          <a:ext cx="238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15" zoomScaleSheetLayoutView="115" zoomScalePageLayoutView="0" workbookViewId="0" topLeftCell="A1">
      <selection activeCell="F48" sqref="F48"/>
    </sheetView>
  </sheetViews>
  <sheetFormatPr defaultColWidth="9.140625" defaultRowHeight="12.75"/>
  <cols>
    <col min="1" max="1" width="21.421875" style="4" customWidth="1"/>
    <col min="2" max="2" width="5.8515625" style="4" bestFit="1" customWidth="1"/>
    <col min="3" max="3" width="11.421875" style="4" customWidth="1"/>
    <col min="4" max="4" width="12.8515625" style="4" bestFit="1" customWidth="1"/>
    <col min="5" max="5" width="15.57421875" style="4" customWidth="1"/>
    <col min="6" max="6" width="6.57421875" style="4" customWidth="1"/>
    <col min="7" max="7" width="15.421875" style="4" customWidth="1"/>
    <col min="8" max="8" width="13.421875" style="4" customWidth="1"/>
    <col min="9" max="9" width="11.57421875" style="4" bestFit="1" customWidth="1"/>
    <col min="10" max="10" width="11.57421875" style="4" customWidth="1"/>
    <col min="11" max="11" width="12.140625" style="4" bestFit="1" customWidth="1"/>
    <col min="12" max="16384" width="9.140625" style="4" customWidth="1"/>
  </cols>
  <sheetData>
    <row r="1" spans="1:8" ht="13.5">
      <c r="A1" s="63" t="s">
        <v>16</v>
      </c>
      <c r="B1" s="60"/>
      <c r="C1" s="60"/>
      <c r="D1" s="43"/>
      <c r="E1" s="43"/>
      <c r="H1" s="25" t="s">
        <v>77</v>
      </c>
    </row>
    <row r="2" spans="1:8" ht="13.5">
      <c r="A2" s="63" t="s">
        <v>13</v>
      </c>
      <c r="B2" s="60"/>
      <c r="C2" s="60"/>
      <c r="D2" s="43"/>
      <c r="E2" s="43"/>
      <c r="H2" s="54" t="s">
        <v>59</v>
      </c>
    </row>
    <row r="3" spans="1:5" ht="13.5">
      <c r="A3" s="31" t="s">
        <v>12</v>
      </c>
      <c r="B3" s="37"/>
      <c r="C3" s="37"/>
      <c r="D3" s="43"/>
      <c r="E3" s="43"/>
    </row>
    <row r="4" ht="13.5">
      <c r="E4" s="25" t="s">
        <v>30</v>
      </c>
    </row>
    <row r="5" spans="1:5" ht="13.5">
      <c r="A5" s="31"/>
      <c r="E5" s="5" t="s">
        <v>28</v>
      </c>
    </row>
    <row r="6" spans="1:6" ht="13.5">
      <c r="A6" s="3"/>
      <c r="F6" s="5" t="s">
        <v>22</v>
      </c>
    </row>
    <row r="7" spans="1:6" ht="13.5">
      <c r="A7" s="3"/>
      <c r="F7" s="4" t="s">
        <v>24</v>
      </c>
    </row>
    <row r="8" spans="1:6" ht="13.5">
      <c r="A8" s="3"/>
      <c r="F8" s="4" t="s">
        <v>23</v>
      </c>
    </row>
    <row r="9" ht="13.5">
      <c r="A9" s="3"/>
    </row>
    <row r="10" spans="1:10" ht="13.5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3.5">
      <c r="A11" s="6"/>
      <c r="B11" s="3" t="s">
        <v>32</v>
      </c>
      <c r="C11" s="6"/>
      <c r="D11" s="6"/>
      <c r="E11" s="6"/>
      <c r="F11" s="6"/>
      <c r="G11" s="6"/>
      <c r="H11" s="6"/>
      <c r="I11" s="6"/>
      <c r="J11" s="6"/>
    </row>
    <row r="12" spans="1:4" ht="13.5">
      <c r="A12" s="7"/>
      <c r="D12" s="4" t="s">
        <v>11</v>
      </c>
    </row>
    <row r="13" spans="2:4" ht="13.5">
      <c r="B13" s="8" t="s">
        <v>0</v>
      </c>
      <c r="C13" s="1"/>
      <c r="D13" s="9" t="s">
        <v>1</v>
      </c>
    </row>
    <row r="14" spans="2:4" ht="13.5">
      <c r="B14" s="8" t="s">
        <v>2</v>
      </c>
      <c r="C14" s="1"/>
      <c r="D14" s="9" t="s">
        <v>9</v>
      </c>
    </row>
    <row r="15" spans="2:4" ht="13.5">
      <c r="B15" s="8" t="s">
        <v>2</v>
      </c>
      <c r="C15" s="1"/>
      <c r="D15" s="9" t="s">
        <v>10</v>
      </c>
    </row>
    <row r="16" spans="2:4" ht="13.5">
      <c r="B16" s="8" t="s">
        <v>2</v>
      </c>
      <c r="C16" s="2">
        <v>912</v>
      </c>
      <c r="D16" s="9" t="s">
        <v>76</v>
      </c>
    </row>
    <row r="17" spans="2:4" ht="13.5">
      <c r="B17" s="8" t="s">
        <v>3</v>
      </c>
      <c r="C17" s="26">
        <f>SUM(C13:C16)</f>
        <v>912</v>
      </c>
      <c r="D17" s="9" t="s">
        <v>17</v>
      </c>
    </row>
    <row r="18" spans="2:4" ht="13.5">
      <c r="B18" s="8" t="s">
        <v>4</v>
      </c>
      <c r="C18" s="2">
        <v>739.5</v>
      </c>
      <c r="D18" s="9" t="s">
        <v>75</v>
      </c>
    </row>
    <row r="19" spans="2:4" ht="13.5">
      <c r="B19" s="8" t="s">
        <v>3</v>
      </c>
      <c r="C19" s="26">
        <f>C17-C18</f>
        <v>172.5</v>
      </c>
      <c r="D19" s="9" t="s">
        <v>18</v>
      </c>
    </row>
    <row r="20" spans="2:4" ht="13.5">
      <c r="B20" s="8" t="s">
        <v>2</v>
      </c>
      <c r="C20" s="2">
        <v>2288.75</v>
      </c>
      <c r="D20" s="9" t="s">
        <v>74</v>
      </c>
    </row>
    <row r="21" spans="1:8" ht="13.5">
      <c r="A21" s="25" t="s">
        <v>56</v>
      </c>
      <c r="B21" s="8" t="s">
        <v>3</v>
      </c>
      <c r="C21" s="27">
        <f>+IF((C19+C20)&lt;C20,C20,IF((C19+C20)&gt;G21,G21,(C19+C20)))</f>
        <v>2461.25</v>
      </c>
      <c r="D21" s="9" t="s">
        <v>78</v>
      </c>
      <c r="G21" s="51">
        <v>3853.5</v>
      </c>
      <c r="H21" s="4" t="s">
        <v>53</v>
      </c>
    </row>
    <row r="22" spans="1:4" ht="13.5">
      <c r="A22" s="25" t="s">
        <v>57</v>
      </c>
      <c r="B22" s="8" t="s">
        <v>4</v>
      </c>
      <c r="C22" s="34">
        <f>$C$39</f>
        <v>0</v>
      </c>
      <c r="D22" s="9" t="s">
        <v>5</v>
      </c>
    </row>
    <row r="23" spans="2:4" ht="13.5">
      <c r="B23" s="10" t="s">
        <v>0</v>
      </c>
      <c r="C23" s="27">
        <f>IF((C21-C22)&gt;0,(C21-C22),0)</f>
        <v>2461.25</v>
      </c>
      <c r="D23" s="11" t="s">
        <v>15</v>
      </c>
    </row>
    <row r="24" spans="2:4" ht="13.5">
      <c r="B24" s="8" t="s">
        <v>4</v>
      </c>
      <c r="C24" s="26">
        <f>IF(C23&gt;0,(IF(G43&gt;0,G43,0)),0)</f>
        <v>0</v>
      </c>
      <c r="D24" s="4" t="s">
        <v>41</v>
      </c>
    </row>
    <row r="25" spans="2:4" ht="13.5" thickBot="1">
      <c r="B25" s="10" t="s">
        <v>0</v>
      </c>
      <c r="C25" s="29">
        <f>IF(C23&gt;C24,C23-C24,0)</f>
        <v>2461.25</v>
      </c>
      <c r="D25" s="12" t="s">
        <v>42</v>
      </c>
    </row>
    <row r="26" ht="13.5" thickTop="1">
      <c r="D26" s="13" t="s">
        <v>43</v>
      </c>
    </row>
    <row r="27" ht="9" customHeight="1"/>
    <row r="28" spans="1:11" ht="13.5">
      <c r="A28" s="62" t="s">
        <v>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7" ht="13.5">
      <c r="A29" s="4" t="s">
        <v>14</v>
      </c>
      <c r="G29" s="14" t="s">
        <v>7</v>
      </c>
    </row>
    <row r="31" spans="1:8" ht="13.5">
      <c r="A31" s="4" t="s">
        <v>44</v>
      </c>
      <c r="B31" s="8" t="s">
        <v>0</v>
      </c>
      <c r="C31" s="15"/>
      <c r="E31" s="4" t="s">
        <v>44</v>
      </c>
      <c r="F31" s="8" t="s">
        <v>0</v>
      </c>
      <c r="G31" s="1"/>
      <c r="H31" s="4" t="s">
        <v>45</v>
      </c>
    </row>
    <row r="32" spans="1:8" ht="13.5">
      <c r="A32" s="14"/>
      <c r="E32" s="14"/>
      <c r="G32" s="16">
        <v>0</v>
      </c>
      <c r="H32" s="4" t="s">
        <v>62</v>
      </c>
    </row>
    <row r="33" spans="1:8" ht="13.5">
      <c r="A33" s="4" t="s">
        <v>48</v>
      </c>
      <c r="B33" s="8" t="s">
        <v>20</v>
      </c>
      <c r="C33" s="17">
        <v>0</v>
      </c>
      <c r="E33" s="4" t="s">
        <v>48</v>
      </c>
      <c r="F33" s="8" t="s">
        <v>20</v>
      </c>
      <c r="G33" s="1"/>
      <c r="H33" s="9" t="s">
        <v>63</v>
      </c>
    </row>
    <row r="34" spans="1:9" ht="13.5">
      <c r="A34" s="14"/>
      <c r="C34" s="18"/>
      <c r="E34" s="14"/>
      <c r="G34" s="16">
        <v>0</v>
      </c>
      <c r="I34" s="4" t="s">
        <v>50</v>
      </c>
    </row>
    <row r="35" spans="1:9" ht="13.5">
      <c r="A35" s="4" t="s">
        <v>49</v>
      </c>
      <c r="B35" s="8" t="s">
        <v>20</v>
      </c>
      <c r="C35" s="17">
        <v>0</v>
      </c>
      <c r="E35" s="4" t="s">
        <v>58</v>
      </c>
      <c r="F35" s="8" t="s">
        <v>20</v>
      </c>
      <c r="G35" s="1"/>
      <c r="I35" s="4" t="s">
        <v>51</v>
      </c>
    </row>
    <row r="36" spans="1:9" ht="13.5">
      <c r="A36" s="14"/>
      <c r="C36" s="18"/>
      <c r="G36" s="16">
        <v>0</v>
      </c>
      <c r="I36" s="4" t="s">
        <v>52</v>
      </c>
    </row>
    <row r="37" spans="1:7" ht="13.5">
      <c r="A37" s="4" t="s">
        <v>19</v>
      </c>
      <c r="B37" s="8" t="s">
        <v>20</v>
      </c>
      <c r="C37" s="28">
        <f>D49</f>
        <v>0</v>
      </c>
      <c r="F37" s="8"/>
      <c r="G37" s="19"/>
    </row>
    <row r="38" spans="1:7" ht="13.5">
      <c r="A38" s="14"/>
      <c r="C38" s="18"/>
      <c r="G38" s="16">
        <v>0</v>
      </c>
    </row>
    <row r="39" spans="1:8" ht="13.5" thickBot="1">
      <c r="A39" s="8" t="s">
        <v>47</v>
      </c>
      <c r="B39" s="8" t="s">
        <v>0</v>
      </c>
      <c r="C39" s="29">
        <f>SUM(C31:C37)</f>
        <v>0</v>
      </c>
      <c r="E39" s="8" t="s">
        <v>47</v>
      </c>
      <c r="F39" s="8" t="s">
        <v>0</v>
      </c>
      <c r="G39" s="29">
        <f>G31+G33+G35+G37</f>
        <v>0</v>
      </c>
      <c r="H39" s="14"/>
    </row>
    <row r="40" spans="3:7" ht="13.5" thickTop="1">
      <c r="C40" s="18"/>
      <c r="G40" s="20">
        <v>0</v>
      </c>
    </row>
    <row r="41" spans="1:8" ht="13.5">
      <c r="A41" s="14"/>
      <c r="F41" s="8" t="s">
        <v>4</v>
      </c>
      <c r="G41" s="36">
        <v>75</v>
      </c>
      <c r="H41" s="9" t="s">
        <v>73</v>
      </c>
    </row>
    <row r="42" spans="1:8" ht="13.5">
      <c r="A42" s="21" t="s">
        <v>8</v>
      </c>
      <c r="B42" s="18"/>
      <c r="C42" s="8" t="s">
        <v>0</v>
      </c>
      <c r="D42" s="15"/>
      <c r="E42" s="42"/>
      <c r="F42" s="8"/>
      <c r="G42" s="22"/>
      <c r="H42" s="50" t="s">
        <v>79</v>
      </c>
    </row>
    <row r="43" spans="1:8" ht="13.5" thickBot="1">
      <c r="A43" s="21" t="s">
        <v>71</v>
      </c>
      <c r="B43" s="23"/>
      <c r="C43" s="8"/>
      <c r="D43" s="46">
        <f>IF(D42&gt;2*$C$44,C44,IF((0.5*D42)&lt;C45,C45,(0.5*D42)))</f>
        <v>50000</v>
      </c>
      <c r="F43" s="8" t="s">
        <v>4</v>
      </c>
      <c r="G43" s="29">
        <f>IF(C23&lt;(G39-G41),C23,(IF((G39-G41)&lt;0,0,G39-G41)))</f>
        <v>0</v>
      </c>
      <c r="H43" s="9" t="s">
        <v>46</v>
      </c>
    </row>
    <row r="44" spans="1:8" ht="13.5" thickTop="1">
      <c r="A44" s="18" t="s">
        <v>80</v>
      </c>
      <c r="B44" s="23"/>
      <c r="C44" s="32">
        <v>154140</v>
      </c>
      <c r="D44" s="26"/>
      <c r="E44" s="52"/>
      <c r="F44" s="8" t="s">
        <v>4</v>
      </c>
      <c r="G44" s="1"/>
      <c r="H44" s="4" t="s">
        <v>61</v>
      </c>
    </row>
    <row r="45" spans="1:8" ht="13.5">
      <c r="A45" s="4" t="s">
        <v>81</v>
      </c>
      <c r="C45" s="32">
        <v>50000</v>
      </c>
      <c r="F45" s="8" t="s">
        <v>4</v>
      </c>
      <c r="G45" s="49">
        <v>174.7</v>
      </c>
      <c r="H45" s="4" t="s">
        <v>68</v>
      </c>
    </row>
    <row r="46" spans="3:8" ht="13.5">
      <c r="C46" s="32"/>
      <c r="F46" s="8" t="s">
        <v>4</v>
      </c>
      <c r="G46" s="49"/>
      <c r="H46" s="4" t="s">
        <v>69</v>
      </c>
    </row>
    <row r="47" spans="1:8" ht="13.5">
      <c r="A47" s="38" t="s">
        <v>55</v>
      </c>
      <c r="B47" s="23"/>
      <c r="C47" s="8"/>
      <c r="D47" s="56"/>
      <c r="E47" s="18"/>
      <c r="F47" s="8" t="s">
        <v>4</v>
      </c>
      <c r="G47" s="49">
        <v>0</v>
      </c>
      <c r="H47" s="4" t="s">
        <v>70</v>
      </c>
    </row>
    <row r="48" spans="1:10" ht="13.5" thickBot="1">
      <c r="A48" s="38" t="s">
        <v>25</v>
      </c>
      <c r="B48" s="23"/>
      <c r="C48" s="8"/>
      <c r="D48" s="39"/>
      <c r="E48" s="18"/>
      <c r="F48" s="8" t="s">
        <v>0</v>
      </c>
      <c r="G48" s="57">
        <f>IF((G39-SUM(G40:G47))&gt;0,G39-SUM(G40:G47),0)</f>
        <v>0</v>
      </c>
      <c r="H48" s="4" t="s">
        <v>64</v>
      </c>
      <c r="J48" s="5"/>
    </row>
    <row r="49" spans="1:9" ht="13.5" thickTop="1">
      <c r="A49" s="21" t="s">
        <v>54</v>
      </c>
      <c r="B49" s="23"/>
      <c r="C49" s="8" t="s">
        <v>0</v>
      </c>
      <c r="D49" s="26">
        <f>(D47/12)*(IF(D42&lt;D43,D42,D43))</f>
        <v>0</v>
      </c>
      <c r="E49" s="18" t="s">
        <v>21</v>
      </c>
      <c r="F49" s="8"/>
      <c r="G49" s="26"/>
      <c r="H49" s="4" t="s">
        <v>65</v>
      </c>
      <c r="I49" s="5"/>
    </row>
    <row r="50" spans="1:9" ht="13.5">
      <c r="A50" s="21"/>
      <c r="B50" s="23"/>
      <c r="C50" s="8"/>
      <c r="D50" s="26"/>
      <c r="E50" s="18"/>
      <c r="F50" s="8"/>
      <c r="G50" s="26"/>
      <c r="H50" s="25" t="s">
        <v>66</v>
      </c>
      <c r="I50" s="5"/>
    </row>
    <row r="51" spans="1:9" ht="13.5">
      <c r="A51" s="38"/>
      <c r="B51" s="23"/>
      <c r="C51" s="8"/>
      <c r="D51" s="39"/>
      <c r="E51" s="18"/>
      <c r="F51" s="8"/>
      <c r="G51" s="26"/>
      <c r="I51" s="5"/>
    </row>
    <row r="52" spans="1:9" ht="13.5">
      <c r="A52" s="38"/>
      <c r="B52" s="3" t="s">
        <v>33</v>
      </c>
      <c r="C52" s="8"/>
      <c r="D52" s="39"/>
      <c r="E52" s="18"/>
      <c r="F52" s="8"/>
      <c r="G52" s="26"/>
      <c r="I52" s="5"/>
    </row>
    <row r="53" spans="1:9" ht="13.5">
      <c r="A53" s="38"/>
      <c r="B53" s="23"/>
      <c r="C53" s="8"/>
      <c r="D53" s="39"/>
      <c r="E53" s="18"/>
      <c r="F53" s="8"/>
      <c r="G53" s="26"/>
      <c r="I53" s="5"/>
    </row>
    <row r="54" spans="1:9" ht="13.5">
      <c r="A54" s="38" t="s">
        <v>34</v>
      </c>
      <c r="B54" s="23"/>
      <c r="C54" s="8"/>
      <c r="D54" s="39"/>
      <c r="E54" s="18"/>
      <c r="F54" s="8"/>
      <c r="G54" s="26"/>
      <c r="I54" s="5"/>
    </row>
    <row r="55" spans="1:9" ht="13.5">
      <c r="A55" s="38" t="s">
        <v>35</v>
      </c>
      <c r="B55" s="23"/>
      <c r="C55" s="8"/>
      <c r="D55" s="39"/>
      <c r="E55" s="18"/>
      <c r="F55" s="8"/>
      <c r="G55" s="26"/>
      <c r="I55" s="5"/>
    </row>
    <row r="56" spans="1:9" ht="13.5">
      <c r="A56" s="38" t="s">
        <v>36</v>
      </c>
      <c r="B56" s="23"/>
      <c r="C56" s="8"/>
      <c r="D56" s="39"/>
      <c r="E56" s="18"/>
      <c r="F56" s="8"/>
      <c r="G56" s="26"/>
      <c r="I56" s="5"/>
    </row>
    <row r="57" spans="1:9" ht="13.5">
      <c r="A57" s="38"/>
      <c r="B57" s="23"/>
      <c r="C57" s="8"/>
      <c r="D57" s="39"/>
      <c r="E57" s="18"/>
      <c r="F57" s="8"/>
      <c r="G57" s="26"/>
      <c r="I57" s="5"/>
    </row>
    <row r="58" spans="1:9" ht="13.5">
      <c r="A58" s="24">
        <v>0.0235</v>
      </c>
      <c r="B58" s="43" t="s">
        <v>82</v>
      </c>
      <c r="C58" s="43"/>
      <c r="D58" s="44"/>
      <c r="E58" s="44"/>
      <c r="F58" s="45"/>
      <c r="G58" s="47" t="s">
        <v>37</v>
      </c>
      <c r="H58" s="27">
        <f>(IF(C25&gt;0,(C25/(A62/12)),0))</f>
        <v>1001186.4406779661</v>
      </c>
      <c r="I58" s="5" t="s">
        <v>29</v>
      </c>
    </row>
    <row r="59" spans="1:9" ht="13.5">
      <c r="A59" s="24">
        <v>0.03</v>
      </c>
      <c r="B59" s="43" t="s">
        <v>83</v>
      </c>
      <c r="C59" s="43"/>
      <c r="D59" s="44"/>
      <c r="E59" s="44"/>
      <c r="F59" s="43"/>
      <c r="G59" s="26"/>
      <c r="H59" s="27">
        <f>IF(C25&gt;0,C25,0)</f>
        <v>2461.25</v>
      </c>
      <c r="I59" s="5" t="s">
        <v>39</v>
      </c>
    </row>
    <row r="60" spans="1:9" ht="13.5">
      <c r="A60" s="35">
        <v>0.035</v>
      </c>
      <c r="B60" s="43" t="s">
        <v>84</v>
      </c>
      <c r="C60" s="43"/>
      <c r="D60" s="44"/>
      <c r="E60" s="44"/>
      <c r="F60" s="43"/>
      <c r="G60" s="26"/>
      <c r="I60" s="5"/>
    </row>
    <row r="61" spans="1:11" ht="13.5">
      <c r="A61" s="30">
        <f>(SUM(A58:A60))/3</f>
        <v>0.0295</v>
      </c>
      <c r="B61" s="4" t="s">
        <v>72</v>
      </c>
      <c r="G61" s="26"/>
      <c r="H61" s="48" t="s">
        <v>31</v>
      </c>
      <c r="I61" s="48"/>
      <c r="J61" s="14"/>
      <c r="K61" s="14"/>
    </row>
    <row r="62" spans="1:6" ht="13.5">
      <c r="A62" s="40">
        <f>IF(D47&gt;A61,D47,A61)</f>
        <v>0.0295</v>
      </c>
      <c r="B62" s="41" t="s">
        <v>26</v>
      </c>
      <c r="C62" s="25"/>
      <c r="D62" s="25"/>
      <c r="E62" s="25"/>
      <c r="F62" s="25"/>
    </row>
    <row r="63" spans="1:11" ht="13.5">
      <c r="A63" s="53" t="s">
        <v>85</v>
      </c>
      <c r="B63" s="8"/>
      <c r="C63" s="55"/>
      <c r="I63" s="8" t="s">
        <v>38</v>
      </c>
      <c r="J63" s="8" t="s">
        <v>0</v>
      </c>
      <c r="K63" s="26">
        <f>D43</f>
        <v>50000</v>
      </c>
    </row>
    <row r="64" spans="1:11" ht="13.5">
      <c r="A64" s="59" t="s">
        <v>60</v>
      </c>
      <c r="B64" s="60"/>
      <c r="C64" s="60"/>
      <c r="D64" s="60"/>
      <c r="E64" s="60"/>
      <c r="F64" s="8"/>
      <c r="I64" s="8" t="s">
        <v>40</v>
      </c>
      <c r="J64" s="8" t="s">
        <v>20</v>
      </c>
      <c r="K64" s="28">
        <f>H58</f>
        <v>1001186.4406779661</v>
      </c>
    </row>
    <row r="65" spans="1:11" ht="13.5" thickBot="1">
      <c r="A65" s="38"/>
      <c r="B65" s="23"/>
      <c r="C65" s="53"/>
      <c r="D65" s="39"/>
      <c r="E65" s="58"/>
      <c r="F65" s="53"/>
      <c r="I65" s="10" t="s">
        <v>67</v>
      </c>
      <c r="J65" s="8" t="s">
        <v>0</v>
      </c>
      <c r="K65" s="33">
        <f>K63+K64</f>
        <v>1051186.440677966</v>
      </c>
    </row>
    <row r="66" ht="13.5" thickTop="1"/>
  </sheetData>
  <sheetProtection password="9C0D" sheet="1" objects="1" scenarios="1" formatCells="0" formatColumns="0" formatRows="0" insertColumns="0" insertRows="0" deleteColumns="0" deleteRows="0"/>
  <mergeCells count="5">
    <mergeCell ref="A64:E64"/>
    <mergeCell ref="A10:J10"/>
    <mergeCell ref="A28:K28"/>
    <mergeCell ref="A1:C1"/>
    <mergeCell ref="A2:C2"/>
  </mergeCells>
  <printOptions horizontalCentered="1"/>
  <pageMargins left="0.4" right="0.25" top="0.5" bottom="1" header="0.5" footer="0.5"/>
  <pageSetup horizontalDpi="300" verticalDpi="300" orientation="portrait" scale="68" r:id="rId2"/>
  <ignoredErrors>
    <ignoredError sqref="C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Davis</dc:creator>
  <cp:keywords/>
  <dc:description/>
  <cp:lastModifiedBy>Lisa Davis</cp:lastModifiedBy>
  <cp:lastPrinted>2019-11-22T15:07:17Z</cp:lastPrinted>
  <dcterms:created xsi:type="dcterms:W3CDTF">2007-01-13T04:59:24Z</dcterms:created>
  <dcterms:modified xsi:type="dcterms:W3CDTF">2024-01-01T03:26:35Z</dcterms:modified>
  <cp:category/>
  <cp:version/>
  <cp:contentType/>
  <cp:contentStatus/>
</cp:coreProperties>
</file>